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!МоиДанные!\Документы\мультиком\Конфигураторы\"/>
    </mc:Choice>
  </mc:AlternateContent>
  <bookViews>
    <workbookView xWindow="0" yWindow="0" windowWidth="17970" windowHeight="7020"/>
  </bookViews>
  <sheets>
    <sheet name="ПОДБОР АТС" sheetId="3" r:id="rId1"/>
    <sheet name="Лист5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D8" i="3" l="1"/>
  <c r="F29" i="5"/>
  <c r="L26" i="5" l="1"/>
  <c r="K26" i="5"/>
  <c r="J26" i="5"/>
  <c r="I26" i="5"/>
  <c r="H26" i="5"/>
  <c r="G26" i="5"/>
  <c r="F26" i="5"/>
  <c r="L23" i="5" l="1"/>
  <c r="L24" i="5"/>
  <c r="D17" i="5"/>
  <c r="E17" i="5" s="1"/>
  <c r="D16" i="5" l="1"/>
  <c r="D15" i="5"/>
  <c r="E16" i="5" l="1"/>
  <c r="E15" i="5"/>
  <c r="D5" i="5" s="1"/>
  <c r="D13" i="5" l="1"/>
  <c r="D11" i="5"/>
  <c r="D10" i="5"/>
  <c r="D7" i="5"/>
  <c r="D6" i="5"/>
  <c r="L21" i="5" l="1"/>
  <c r="H21" i="5"/>
  <c r="I21" i="5"/>
  <c r="K21" i="5"/>
  <c r="J21" i="5"/>
  <c r="D12" i="5"/>
  <c r="I23" i="5" s="1"/>
  <c r="L22" i="5"/>
  <c r="I27" i="5"/>
  <c r="F22" i="5"/>
  <c r="H27" i="5"/>
  <c r="G27" i="5"/>
  <c r="F27" i="5"/>
  <c r="L25" i="5"/>
  <c r="K25" i="5"/>
  <c r="J25" i="5"/>
  <c r="I25" i="5"/>
  <c r="H25" i="5"/>
  <c r="G25" i="5"/>
  <c r="F25" i="5"/>
  <c r="G21" i="5"/>
  <c r="F21" i="5"/>
  <c r="I22" i="5"/>
  <c r="J22" i="5"/>
  <c r="K22" i="5"/>
  <c r="G22" i="5"/>
  <c r="H22" i="5"/>
  <c r="F23" i="5" l="1"/>
  <c r="H23" i="5"/>
  <c r="G23" i="5"/>
  <c r="K23" i="5"/>
  <c r="J23" i="5"/>
  <c r="J27" i="5"/>
  <c r="L27" i="5"/>
  <c r="K27" i="5"/>
  <c r="D4" i="5"/>
  <c r="J19" i="5" l="1"/>
  <c r="F19" i="5"/>
  <c r="I19" i="5"/>
  <c r="K19" i="5"/>
  <c r="G19" i="5"/>
  <c r="L19" i="5"/>
  <c r="H19" i="5"/>
  <c r="D9" i="5"/>
  <c r="D8" i="5"/>
  <c r="L20" i="5" l="1"/>
  <c r="H20" i="5"/>
  <c r="G20" i="5"/>
  <c r="I20" i="5"/>
  <c r="K20" i="5"/>
  <c r="J20" i="5"/>
  <c r="K24" i="5"/>
  <c r="J24" i="5"/>
  <c r="L28" i="5"/>
  <c r="L31" i="5" s="1"/>
  <c r="G24" i="5"/>
  <c r="F24" i="5"/>
  <c r="H24" i="5"/>
  <c r="I24" i="5"/>
  <c r="F20" i="5"/>
  <c r="K9" i="3" l="1"/>
  <c r="J28" i="5"/>
  <c r="J31" i="5" s="1"/>
  <c r="H28" i="5"/>
  <c r="H31" i="5" s="1"/>
  <c r="I28" i="5"/>
  <c r="I31" i="5" s="1"/>
  <c r="F28" i="5"/>
  <c r="F31" i="5" s="1"/>
  <c r="K28" i="5"/>
  <c r="G28" i="5"/>
  <c r="G31" i="5" l="1"/>
  <c r="G30" i="5"/>
  <c r="K30" i="5"/>
  <c r="J11" i="3" s="1"/>
  <c r="K31" i="5"/>
  <c r="J9" i="3" s="1"/>
  <c r="J30" i="5"/>
  <c r="I11" i="3" s="1"/>
  <c r="F30" i="5"/>
  <c r="E11" i="3" s="1"/>
  <c r="I30" i="5"/>
  <c r="H11" i="3" s="1"/>
  <c r="L30" i="5"/>
  <c r="K11" i="3" s="1"/>
  <c r="H30" i="5"/>
  <c r="G11" i="3" s="1"/>
  <c r="H9" i="3"/>
  <c r="G9" i="3"/>
  <c r="E9" i="3"/>
  <c r="I9" i="3"/>
  <c r="F11" i="3"/>
  <c r="F9" i="3"/>
</calcChain>
</file>

<file path=xl/sharedStrings.xml><?xml version="1.0" encoding="utf-8"?>
<sst xmlns="http://schemas.openxmlformats.org/spreadsheetml/2006/main" count="63" uniqueCount="57">
  <si>
    <t>СЛ</t>
  </si>
  <si>
    <t>АЛ</t>
  </si>
  <si>
    <t>проводных телефонов и (или) баз DECT</t>
  </si>
  <si>
    <t>телефонов MБ</t>
  </si>
  <si>
    <t>Каналов ТЧ</t>
  </si>
  <si>
    <t>каналов ГГС</t>
  </si>
  <si>
    <t>автосекретарей на 3 АЛ</t>
  </si>
  <si>
    <t>автосекретарейна 6 АЛ</t>
  </si>
  <si>
    <t>факсов/факс-модемов</t>
  </si>
  <si>
    <t>GSM шлюзы FXS (портов)</t>
  </si>
  <si>
    <t>IP шлюзы FXO (портов)</t>
  </si>
  <si>
    <t>GSM шлюзы FXO (портов)</t>
  </si>
  <si>
    <t>IP плат</t>
  </si>
  <si>
    <t>MP35</t>
  </si>
  <si>
    <t>MP48</t>
  </si>
  <si>
    <t>MP80</t>
  </si>
  <si>
    <t>MXM500</t>
  </si>
  <si>
    <t>2 блока</t>
  </si>
  <si>
    <t>3 блока</t>
  </si>
  <si>
    <t xml:space="preserve"> 1блок</t>
  </si>
  <si>
    <t>условия проверки</t>
  </si>
  <si>
    <t>по СЛ</t>
  </si>
  <si>
    <t>По АЛ+СЛ</t>
  </si>
  <si>
    <t>по СТА 2</t>
  </si>
  <si>
    <t>СТА4</t>
  </si>
  <si>
    <t>СТА2</t>
  </si>
  <si>
    <t>плат Е1</t>
  </si>
  <si>
    <t>MP11</t>
  </si>
  <si>
    <t>MXM500-P</t>
  </si>
  <si>
    <t>СЛ+АЛ</t>
  </si>
  <si>
    <t>АЛ+СЛ</t>
  </si>
  <si>
    <t>АЛ+СЛ+СТА</t>
  </si>
  <si>
    <t>По СТА4</t>
  </si>
  <si>
    <t>по платам СТА4</t>
  </si>
  <si>
    <t>по  АЛ+СЛ+СТА</t>
  </si>
  <si>
    <t>домофонов DMF</t>
  </si>
  <si>
    <t>АЛ на автосекретари 3</t>
  </si>
  <si>
    <t>АЛ на автосекретари 6</t>
  </si>
  <si>
    <t>домофонов DMFu</t>
  </si>
  <si>
    <t>по обычным домофонам</t>
  </si>
  <si>
    <t>по СТА2+СТА4</t>
  </si>
  <si>
    <t>плат СТА4</t>
  </si>
  <si>
    <t>плат СТА2</t>
  </si>
  <si>
    <t>Сумма критериев</t>
  </si>
  <si>
    <t>Результат</t>
  </si>
  <si>
    <t>Соединительных линий (портов СЛ)</t>
  </si>
  <si>
    <t>индикатор</t>
  </si>
  <si>
    <t>по каналам ГГС</t>
  </si>
  <si>
    <t>Укажите количество</t>
  </si>
  <si>
    <t>системных ТА 4-х проводных и консолей</t>
  </si>
  <si>
    <t>СУММА ВЫБОРА</t>
  </si>
  <si>
    <t>https://www.multicom.ru/</t>
  </si>
  <si>
    <r>
      <rPr>
        <b/>
        <sz val="16"/>
        <color theme="1"/>
        <rFont val="Calibri"/>
        <family val="2"/>
        <charset val="204"/>
        <scheme val="minor"/>
      </rPr>
      <t>ВАЖНО!</t>
    </r>
    <r>
      <rPr>
        <sz val="11"/>
        <color theme="1"/>
        <rFont val="Calibri"/>
        <family val="2"/>
        <charset val="204"/>
        <scheme val="minor"/>
      </rPr>
      <t xml:space="preserve">  1. Это лишь ПРЕДВАРИТЕЛЬНЫЕ ПРИКИДКИ. В любом случае очень советуем обратиться к сспециалистам Центрального офиса или нашим региональным партнерам для уточнения Ваших пожеланий и конфигурации. 2. Есть некоторые моменты, которые ОДНОЗНАЧНО указывают на выбор </t>
    </r>
    <r>
      <rPr>
        <b/>
        <sz val="14"/>
        <color rgb="FF0070C0"/>
        <rFont val="Calibri"/>
        <family val="2"/>
        <charset val="204"/>
        <scheme val="minor"/>
      </rPr>
      <t>МАКСИКОМ MXM500-P</t>
    </r>
    <r>
      <rPr>
        <sz val="11"/>
        <color rgb="FF0070C0"/>
        <rFont val="Calibri"/>
        <family val="2"/>
        <charset val="204"/>
        <scheme val="minor"/>
      </rPr>
      <t>.</t>
    </r>
    <r>
      <rPr>
        <sz val="11"/>
        <color theme="1"/>
        <rFont val="Calibri"/>
        <family val="2"/>
        <charset val="204"/>
        <scheme val="minor"/>
      </rPr>
      <t xml:space="preserve"> К ним относятся:</t>
    </r>
    <r>
      <rPr>
        <b/>
        <sz val="11"/>
        <color rgb="FF0070C0"/>
        <rFont val="Calibri"/>
        <family val="2"/>
        <charset val="204"/>
        <scheme val="minor"/>
      </rPr>
      <t xml:space="preserve"> режим селекторной связи, отображение имени вызывающего абонента на димплее системного телефона, подключение IP терминалов МАКСИФОН MXF IP, подключение плат цифрового потока и IP-плат</t>
    </r>
    <r>
      <rPr>
        <sz val="11"/>
        <color theme="1"/>
        <rFont val="Calibri"/>
        <family val="2"/>
        <charset val="204"/>
        <scheme val="minor"/>
      </rPr>
      <t>, а также некоторые другие. Мы всегда на связи!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</si>
  <si>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официальный сайт разработчика и производителя </t>
  </si>
  <si>
    <t>системных ТА цифровых</t>
  </si>
  <si>
    <t>Максифонов (переговорные устройства дуплексной ГГС)</t>
  </si>
  <si>
    <t>IP шлюзы FXS (укажите кол-во портов)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</si>
</sst>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1"/>
      <color rgb="FF0070C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8"/>
      <color theme="1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9" fillId="0" borderId="0" xfId="1" applyFont="1"/>
    <xf numFmtId="0" fontId="8" fillId="0" borderId="0" xfId="1" applyAlignment="1">
      <alignment vertical="top" wrapText="1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10"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ulticom.ru/modul-tch/" TargetMode="External"/><Relationship Id="rId18" Type="http://schemas.openxmlformats.org/officeDocument/2006/relationships/image" Target="../media/image11.jpeg"/><Relationship Id="rId26" Type="http://schemas.openxmlformats.org/officeDocument/2006/relationships/image" Target="../media/image15.png"/><Relationship Id="rId3" Type="http://schemas.openxmlformats.org/officeDocument/2006/relationships/image" Target="../media/image3.png"/><Relationship Id="rId21" Type="http://schemas.openxmlformats.org/officeDocument/2006/relationships/hyperlink" Target="https://www.multicom.ru/intellektualnyj-avtosekretar-maksikom-as453-as456/" TargetMode="External"/><Relationship Id="rId34" Type="http://schemas.openxmlformats.org/officeDocument/2006/relationships/image" Target="../media/image20.png"/><Relationship Id="rId7" Type="http://schemas.openxmlformats.org/officeDocument/2006/relationships/hyperlink" Target="https://www.multicom.ru/category/produktsiya/sta-i-pulty-maxicom/" TargetMode="External"/><Relationship Id="rId12" Type="http://schemas.openxmlformats.org/officeDocument/2006/relationships/image" Target="../media/image8.png"/><Relationship Id="rId17" Type="http://schemas.openxmlformats.org/officeDocument/2006/relationships/hyperlink" Target="https://www.multicom.ru/category/produktsiya/peregovornye-ustrojstva-i-terminaly-ekstrennoj-svyazi/" TargetMode="External"/><Relationship Id="rId25" Type="http://schemas.openxmlformats.org/officeDocument/2006/relationships/hyperlink" Target="https://www.multicom.ru/peregovorno-zamkovoe-ustrojstvo-domofon-maxicom-dmfu/" TargetMode="External"/><Relationship Id="rId33" Type="http://schemas.openxmlformats.org/officeDocument/2006/relationships/image" Target="../media/image19.pn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jpeg"/><Relationship Id="rId29" Type="http://schemas.openxmlformats.org/officeDocument/2006/relationships/hyperlink" Target="https://www.multicom.ru/category/produktsiya/aksessuary/shlyuzy/voip-shlyuzy/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s://www.multicom.ru/modul-mb/" TargetMode="External"/><Relationship Id="rId24" Type="http://schemas.openxmlformats.org/officeDocument/2006/relationships/image" Target="../media/image14.jpeg"/><Relationship Id="rId32" Type="http://schemas.openxmlformats.org/officeDocument/2006/relationships/image" Target="../media/image18.png"/><Relationship Id="rId5" Type="http://schemas.openxmlformats.org/officeDocument/2006/relationships/hyperlink" Target="https://www.multicom.ru/category/produktsiya/telefonnye-apparaty/" TargetMode="External"/><Relationship Id="rId15" Type="http://schemas.openxmlformats.org/officeDocument/2006/relationships/hyperlink" Target="https://www.multicom.ru/resheniya/sistemy-gromkogovoryashhej-svyazi/" TargetMode="External"/><Relationship Id="rId23" Type="http://schemas.openxmlformats.org/officeDocument/2006/relationships/hyperlink" Target="https://www.multicom.ru/resheniya/tipovye-shemy-podklyucheniya-mini-ats-maksikom/ats-na-3-nomera/" TargetMode="External"/><Relationship Id="rId28" Type="http://schemas.openxmlformats.org/officeDocument/2006/relationships/image" Target="../media/image16.jpeg"/><Relationship Id="rId36" Type="http://schemas.openxmlformats.org/officeDocument/2006/relationships/image" Target="../media/image21.png"/><Relationship Id="rId10" Type="http://schemas.openxmlformats.org/officeDocument/2006/relationships/image" Target="../media/image7.png"/><Relationship Id="rId19" Type="http://schemas.openxmlformats.org/officeDocument/2006/relationships/hyperlink" Target="https://www.multicom.ru/mxf-vun-vandaloustojchivoe-ispolnenie-universalnyj/" TargetMode="External"/><Relationship Id="rId31" Type="http://schemas.openxmlformats.org/officeDocument/2006/relationships/hyperlink" Target="https://www.multicom.ru/category/produktsiya/aksessuary/shlyuzy/gsm-shlyuzy/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s://www.multicom.ru/sta-7224d/" TargetMode="External"/><Relationship Id="rId14" Type="http://schemas.openxmlformats.org/officeDocument/2006/relationships/image" Target="../media/image9.png"/><Relationship Id="rId22" Type="http://schemas.openxmlformats.org/officeDocument/2006/relationships/image" Target="../media/image13.png"/><Relationship Id="rId27" Type="http://schemas.openxmlformats.org/officeDocument/2006/relationships/hyperlink" Target="https://www.multicom.ru/peregovorno-zamkovoe-ustrojstvo-maxicom-dmf/" TargetMode="External"/><Relationship Id="rId30" Type="http://schemas.openxmlformats.org/officeDocument/2006/relationships/image" Target="../media/image17.png"/><Relationship Id="rId35" Type="http://schemas.openxmlformats.org/officeDocument/2006/relationships/hyperlink" Target="https://www.multicom.ru/category/produktsiya/telefonnye-apparaty/dect/" TargetMode="External"/><Relationship Id="rId8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2</xdr:row>
      <xdr:rowOff>38100</xdr:rowOff>
    </xdr:from>
    <xdr:to>
      <xdr:col>9</xdr:col>
      <xdr:colOff>1162050</xdr:colOff>
      <xdr:row>5</xdr:row>
      <xdr:rowOff>109935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1925" y="561975"/>
          <a:ext cx="962025" cy="643335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</xdr:row>
      <xdr:rowOff>65501</xdr:rowOff>
    </xdr:from>
    <xdr:to>
      <xdr:col>7</xdr:col>
      <xdr:colOff>1009650</xdr:colOff>
      <xdr:row>5</xdr:row>
      <xdr:rowOff>124447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446501"/>
          <a:ext cx="942975" cy="63044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66675</xdr:rowOff>
    </xdr:from>
    <xdr:to>
      <xdr:col>6</xdr:col>
      <xdr:colOff>1190625</xdr:colOff>
      <xdr:row>5</xdr:row>
      <xdr:rowOff>125621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47675"/>
          <a:ext cx="942975" cy="630446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276226</xdr:colOff>
      <xdr:row>2</xdr:row>
      <xdr:rowOff>47625</xdr:rowOff>
    </xdr:from>
    <xdr:to>
      <xdr:col>5</xdr:col>
      <xdr:colOff>1262942</xdr:colOff>
      <xdr:row>5</xdr:row>
      <xdr:rowOff>134257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6" y="428625"/>
          <a:ext cx="986716" cy="658132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</xdr:row>
      <xdr:rowOff>99033</xdr:rowOff>
    </xdr:from>
    <xdr:to>
      <xdr:col>4</xdr:col>
      <xdr:colOff>1057275</xdr:colOff>
      <xdr:row>5</xdr:row>
      <xdr:rowOff>143783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480033"/>
          <a:ext cx="923924" cy="616250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314326</xdr:colOff>
      <xdr:row>11</xdr:row>
      <xdr:rowOff>365</xdr:rowOff>
    </xdr:from>
    <xdr:to>
      <xdr:col>1</xdr:col>
      <xdr:colOff>619125</xdr:colOff>
      <xdr:row>12</xdr:row>
      <xdr:rowOff>35759</xdr:rowOff>
    </xdr:to>
    <xdr:pic>
      <xdr:nvPicPr>
        <xdr:cNvPr id="7" name="Рисунок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3267440"/>
          <a:ext cx="304799" cy="36876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12</xdr:row>
      <xdr:rowOff>19050</xdr:rowOff>
    </xdr:from>
    <xdr:to>
      <xdr:col>1</xdr:col>
      <xdr:colOff>847726</xdr:colOff>
      <xdr:row>13</xdr:row>
      <xdr:rowOff>28575</xdr:rowOff>
    </xdr:to>
    <xdr:pic>
      <xdr:nvPicPr>
        <xdr:cNvPr id="8" name="Рисунок 7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6" y="3619500"/>
          <a:ext cx="51435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365538</xdr:colOff>
      <xdr:row>13</xdr:row>
      <xdr:rowOff>38092</xdr:rowOff>
    </xdr:from>
    <xdr:to>
      <xdr:col>1</xdr:col>
      <xdr:colOff>781049</xdr:colOff>
      <xdr:row>13</xdr:row>
      <xdr:rowOff>315234</xdr:rowOff>
    </xdr:to>
    <xdr:pic>
      <xdr:nvPicPr>
        <xdr:cNvPr id="9" name="Рисунок 8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75138" y="3971917"/>
          <a:ext cx="415511" cy="277142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14</xdr:row>
      <xdr:rowOff>42860</xdr:rowOff>
    </xdr:from>
    <xdr:to>
      <xdr:col>1</xdr:col>
      <xdr:colOff>733426</xdr:colOff>
      <xdr:row>14</xdr:row>
      <xdr:rowOff>314323</xdr:rowOff>
    </xdr:to>
    <xdr:pic>
      <xdr:nvPicPr>
        <xdr:cNvPr id="10" name="Рисунок 9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81076" y="4310060"/>
          <a:ext cx="361950" cy="2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15</xdr:row>
      <xdr:rowOff>53975</xdr:rowOff>
    </xdr:from>
    <xdr:to>
      <xdr:col>1</xdr:col>
      <xdr:colOff>733425</xdr:colOff>
      <xdr:row>15</xdr:row>
      <xdr:rowOff>295274</xdr:rowOff>
    </xdr:to>
    <xdr:pic>
      <xdr:nvPicPr>
        <xdr:cNvPr id="11" name="Рисунок 10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4654550"/>
          <a:ext cx="361949" cy="2412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16</xdr:row>
      <xdr:rowOff>59612</xdr:rowOff>
    </xdr:from>
    <xdr:to>
      <xdr:col>1</xdr:col>
      <xdr:colOff>733425</xdr:colOff>
      <xdr:row>16</xdr:row>
      <xdr:rowOff>285996</xdr:rowOff>
    </xdr:to>
    <xdr:pic>
      <xdr:nvPicPr>
        <xdr:cNvPr id="12" name="Рисунок 11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93562"/>
          <a:ext cx="352425" cy="22638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16</xdr:row>
      <xdr:rowOff>312618</xdr:rowOff>
    </xdr:from>
    <xdr:to>
      <xdr:col>1</xdr:col>
      <xdr:colOff>571500</xdr:colOff>
      <xdr:row>18</xdr:row>
      <xdr:rowOff>25159</xdr:rowOff>
    </xdr:to>
    <xdr:pic>
      <xdr:nvPicPr>
        <xdr:cNvPr id="13" name="Рисунок 12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5246568"/>
          <a:ext cx="352424" cy="455491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581026</xdr:colOff>
      <xdr:row>16</xdr:row>
      <xdr:rowOff>295275</xdr:rowOff>
    </xdr:from>
    <xdr:to>
      <xdr:col>1</xdr:col>
      <xdr:colOff>944821</xdr:colOff>
      <xdr:row>18</xdr:row>
      <xdr:rowOff>52819</xdr:rowOff>
    </xdr:to>
    <xdr:pic>
      <xdr:nvPicPr>
        <xdr:cNvPr id="14" name="Рисунок 13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5229225"/>
          <a:ext cx="363795" cy="500494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18</xdr:row>
      <xdr:rowOff>107950</xdr:rowOff>
    </xdr:from>
    <xdr:to>
      <xdr:col>1</xdr:col>
      <xdr:colOff>895350</xdr:colOff>
      <xdr:row>19</xdr:row>
      <xdr:rowOff>200025</xdr:rowOff>
    </xdr:to>
    <xdr:pic>
      <xdr:nvPicPr>
        <xdr:cNvPr id="15" name="Рисунок 14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5784850"/>
          <a:ext cx="638175" cy="4254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20</xdr:row>
      <xdr:rowOff>48073</xdr:rowOff>
    </xdr:from>
    <xdr:to>
      <xdr:col>1</xdr:col>
      <xdr:colOff>771525</xdr:colOff>
      <xdr:row>20</xdr:row>
      <xdr:rowOff>327278</xdr:rowOff>
    </xdr:to>
    <xdr:pic>
      <xdr:nvPicPr>
        <xdr:cNvPr id="16" name="Рисунок 15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6391723"/>
          <a:ext cx="495300" cy="27920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22</xdr:row>
      <xdr:rowOff>47625</xdr:rowOff>
    </xdr:from>
    <xdr:to>
      <xdr:col>1</xdr:col>
      <xdr:colOff>771526</xdr:colOff>
      <xdr:row>22</xdr:row>
      <xdr:rowOff>314325</xdr:rowOff>
    </xdr:to>
    <xdr:pic>
      <xdr:nvPicPr>
        <xdr:cNvPr id="17" name="Рисунок 16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058025"/>
          <a:ext cx="40005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21</xdr:row>
      <xdr:rowOff>28574</xdr:rowOff>
    </xdr:from>
    <xdr:to>
      <xdr:col>1</xdr:col>
      <xdr:colOff>785813</xdr:colOff>
      <xdr:row>21</xdr:row>
      <xdr:rowOff>304799</xdr:rowOff>
    </xdr:to>
    <xdr:pic>
      <xdr:nvPicPr>
        <xdr:cNvPr id="18" name="Рисунок 17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6705599"/>
          <a:ext cx="414338" cy="27622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25</xdr:row>
      <xdr:rowOff>32999</xdr:rowOff>
    </xdr:from>
    <xdr:to>
      <xdr:col>1</xdr:col>
      <xdr:colOff>895350</xdr:colOff>
      <xdr:row>25</xdr:row>
      <xdr:rowOff>305283</xdr:rowOff>
    </xdr:to>
    <xdr:pic>
      <xdr:nvPicPr>
        <xdr:cNvPr id="19" name="Рисунок 18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043524"/>
          <a:ext cx="600075" cy="27228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26</xdr:row>
      <xdr:rowOff>19847</xdr:rowOff>
    </xdr:from>
    <xdr:to>
      <xdr:col>1</xdr:col>
      <xdr:colOff>790575</xdr:colOff>
      <xdr:row>27</xdr:row>
      <xdr:rowOff>57947</xdr:rowOff>
    </xdr:to>
    <xdr:pic>
      <xdr:nvPicPr>
        <xdr:cNvPr id="20" name="Рисунок 19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363747"/>
          <a:ext cx="49530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23</xdr:row>
      <xdr:rowOff>305597</xdr:rowOff>
    </xdr:from>
    <xdr:to>
      <xdr:col>1</xdr:col>
      <xdr:colOff>771525</xdr:colOff>
      <xdr:row>25</xdr:row>
      <xdr:rowOff>38896</xdr:rowOff>
    </xdr:to>
    <xdr:pic>
      <xdr:nvPicPr>
        <xdr:cNvPr id="21" name="Рисунок 20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649372"/>
          <a:ext cx="400049" cy="40004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23</xdr:row>
      <xdr:rowOff>13446</xdr:rowOff>
    </xdr:from>
    <xdr:to>
      <xdr:col>1</xdr:col>
      <xdr:colOff>857250</xdr:colOff>
      <xdr:row>24</xdr:row>
      <xdr:rowOff>10160</xdr:rowOff>
    </xdr:to>
    <xdr:pic>
      <xdr:nvPicPr>
        <xdr:cNvPr id="22" name="Рисунок 21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7357221"/>
          <a:ext cx="552450" cy="330089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10</xdr:row>
      <xdr:rowOff>333374</xdr:rowOff>
    </xdr:from>
    <xdr:to>
      <xdr:col>1</xdr:col>
      <xdr:colOff>1076923</xdr:colOff>
      <xdr:row>12</xdr:row>
      <xdr:rowOff>19647</xdr:rowOff>
    </xdr:to>
    <xdr:pic>
      <xdr:nvPicPr>
        <xdr:cNvPr id="23" name="Рисунок 22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267074"/>
          <a:ext cx="353023" cy="353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ulticom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abSelected="1" workbookViewId="0">
      <selection activeCell="F11" sqref="F11:F27"/>
    </sheetView>
  </sheetViews>
  <sheetFormatPr defaultRowHeight="15" x14ac:dyDescent="0.25"/>
  <cols>
    <col min="2" max="2" width="18.85546875" customWidth="1"/>
    <col min="3" max="3" width="42.85546875" customWidth="1"/>
    <col min="4" max="4" width="28.85546875" customWidth="1"/>
    <col min="5" max="5" width="17.140625" customWidth="1"/>
    <col min="6" max="6" width="20.7109375" customWidth="1"/>
    <col min="7" max="7" width="20.28515625" customWidth="1"/>
    <col min="8" max="8" width="16.7109375" customWidth="1"/>
    <col min="9" max="9" width="15.140625" customWidth="1"/>
    <col min="10" max="10" width="19.140625" customWidth="1"/>
    <col min="11" max="11" width="17.7109375" customWidth="1"/>
  </cols>
  <sheetData>
    <row r="2" spans="2:11" ht="26.25" x14ac:dyDescent="0.4">
      <c r="B2" s="11" t="s">
        <v>52</v>
      </c>
      <c r="C2" s="11"/>
      <c r="D2" s="11"/>
      <c r="E2" s="2" t="s">
        <v>27</v>
      </c>
      <c r="F2" s="2" t="s">
        <v>13</v>
      </c>
      <c r="G2" s="2" t="s">
        <v>14</v>
      </c>
      <c r="H2" s="2" t="s">
        <v>15</v>
      </c>
      <c r="I2" s="9" t="s">
        <v>16</v>
      </c>
      <c r="J2" s="10"/>
      <c r="K2" s="10"/>
    </row>
    <row r="3" spans="2:11" x14ac:dyDescent="0.25">
      <c r="B3" s="11"/>
      <c r="C3" s="11"/>
      <c r="D3" s="11"/>
      <c r="E3" s="10"/>
      <c r="F3" s="10"/>
      <c r="G3" s="10"/>
      <c r="H3" s="10"/>
      <c r="I3" s="10"/>
      <c r="J3" s="10"/>
      <c r="K3" s="10"/>
    </row>
    <row r="4" spans="2:11" x14ac:dyDescent="0.25">
      <c r="B4" s="11"/>
      <c r="C4" s="11"/>
      <c r="D4" s="11"/>
      <c r="E4" s="10"/>
      <c r="F4" s="10"/>
      <c r="G4" s="10"/>
      <c r="H4" s="10"/>
      <c r="I4" s="10"/>
      <c r="J4" s="10"/>
      <c r="K4" s="10"/>
    </row>
    <row r="5" spans="2:11" x14ac:dyDescent="0.25">
      <c r="B5" s="11"/>
      <c r="C5" s="11"/>
      <c r="D5" s="11"/>
      <c r="E5" s="10"/>
      <c r="F5" s="10"/>
      <c r="G5" s="10"/>
      <c r="H5" s="10"/>
      <c r="I5" s="10"/>
      <c r="J5" s="10"/>
      <c r="K5" s="10"/>
    </row>
    <row r="6" spans="2:11" x14ac:dyDescent="0.25">
      <c r="B6" s="11"/>
      <c r="C6" s="11"/>
      <c r="D6" s="11"/>
      <c r="E6" s="10"/>
      <c r="F6" s="10"/>
      <c r="G6" s="10"/>
      <c r="H6" s="10"/>
      <c r="I6" s="10"/>
      <c r="J6" s="10"/>
      <c r="K6" s="10"/>
    </row>
    <row r="7" spans="2:11" ht="48.75" customHeight="1" x14ac:dyDescent="0.25">
      <c r="B7" s="11"/>
      <c r="C7" s="11"/>
      <c r="D7" s="11"/>
      <c r="E7" s="11" t="str">
        <f>IF(SUM(D11:D27)=0,"Как только Вы укажете количество хотя бы по одной позиции, появится цветовая индикация", "Зеленый цвет - модель обеспечивает набор нужных характеристик, возможно с большим запасом. Нужно разбираться с конкретной конфигурацией. Красный - для решения Ваших задач нужна модель большей конфигурации (как минимум!)")</f>
        <v>Как только Вы укажете количество хотя бы по одной позиции, появится цветовая индикация</v>
      </c>
      <c r="F7" s="11"/>
      <c r="G7" s="11"/>
      <c r="H7" s="11"/>
      <c r="I7" s="11"/>
      <c r="J7" s="11"/>
      <c r="K7" s="11"/>
    </row>
    <row r="8" spans="2:11" ht="45" x14ac:dyDescent="0.35">
      <c r="B8" s="6" t="s">
        <v>53</v>
      </c>
      <c r="C8" s="5" t="s">
        <v>51</v>
      </c>
      <c r="D8" s="8" t="str">
        <f>IF(SUM(D11:D27)=0,"Ну что, начинаем подбор оборудования?","О, дело пошло! ")</f>
        <v>Ну что, начинаем подбор оборудования?</v>
      </c>
      <c r="I8" s="3" t="s">
        <v>19</v>
      </c>
      <c r="J8" s="3" t="s">
        <v>17</v>
      </c>
      <c r="K8" s="3" t="s">
        <v>18</v>
      </c>
    </row>
    <row r="9" spans="2:11" x14ac:dyDescent="0.25">
      <c r="D9" s="8"/>
      <c r="E9" t="str">
        <f>Лист5!F31</f>
        <v>РАНО</v>
      </c>
      <c r="F9" t="str">
        <f>Лист5!G31</f>
        <v>РАНО</v>
      </c>
      <c r="G9" t="str">
        <f>Лист5!H31</f>
        <v>РАНО</v>
      </c>
      <c r="H9" t="str">
        <f>Лист5!I31</f>
        <v>РАНО</v>
      </c>
      <c r="I9" t="str">
        <f>Лист5!J31</f>
        <v>РАНО</v>
      </c>
      <c r="J9" t="str">
        <f>Лист5!K31</f>
        <v>РАНО</v>
      </c>
      <c r="K9" t="str">
        <f>Лист5!L31</f>
        <v>РАНО</v>
      </c>
    </row>
    <row r="10" spans="2:11" ht="21" x14ac:dyDescent="0.35">
      <c r="C10" s="3" t="s">
        <v>48</v>
      </c>
      <c r="D10" s="8"/>
    </row>
    <row r="11" spans="2:11" ht="26.25" x14ac:dyDescent="0.4">
      <c r="C11" t="s">
        <v>45</v>
      </c>
      <c r="D11" s="7"/>
      <c r="E11" s="11" t="str">
        <f>Лист5!$F$30</f>
        <v>Подходит по характеристикам</v>
      </c>
      <c r="F11" s="11" t="str">
        <f>Лист5!$G$30</f>
        <v>Подходит по характеристикам</v>
      </c>
      <c r="G11" s="11" t="str">
        <f>Лист5!$H$30</f>
        <v>Подходит по характеристикам</v>
      </c>
      <c r="H11" s="11" t="str">
        <f>Лист5!$I$30</f>
        <v>Подходит по характеристикам</v>
      </c>
      <c r="I11" s="11" t="str">
        <f>Лист5!$J$30</f>
        <v>Подходит по характеристикам</v>
      </c>
      <c r="J11" s="11" t="str">
        <f>Лист5!$K$30</f>
        <v>Подходит по характеристикам</v>
      </c>
      <c r="K11" s="11" t="str">
        <f>Лист5!$L$30</f>
        <v>Подходит по характеристикам</v>
      </c>
    </row>
    <row r="12" spans="2:11" ht="26.25" x14ac:dyDescent="0.4">
      <c r="C12" t="s">
        <v>2</v>
      </c>
      <c r="D12" s="7"/>
      <c r="E12" s="11"/>
      <c r="F12" s="11"/>
      <c r="G12" s="11"/>
      <c r="H12" s="11"/>
      <c r="I12" s="11"/>
      <c r="J12" s="11"/>
      <c r="K12" s="11"/>
    </row>
    <row r="13" spans="2:11" ht="26.25" x14ac:dyDescent="0.4">
      <c r="C13" t="s">
        <v>49</v>
      </c>
      <c r="D13" s="7"/>
      <c r="E13" s="11"/>
      <c r="F13" s="11"/>
      <c r="G13" s="11"/>
      <c r="H13" s="11"/>
      <c r="I13" s="11"/>
      <c r="J13" s="11"/>
      <c r="K13" s="11"/>
    </row>
    <row r="14" spans="2:11" ht="26.25" x14ac:dyDescent="0.4">
      <c r="C14" t="s">
        <v>54</v>
      </c>
      <c r="D14" s="7"/>
      <c r="E14" s="11"/>
      <c r="F14" s="11"/>
      <c r="G14" s="11"/>
      <c r="H14" s="11"/>
      <c r="I14" s="11"/>
      <c r="J14" s="11"/>
      <c r="K14" s="11"/>
    </row>
    <row r="15" spans="2:11" ht="26.25" x14ac:dyDescent="0.4">
      <c r="C15" t="s">
        <v>3</v>
      </c>
      <c r="D15" s="7"/>
      <c r="E15" s="11"/>
      <c r="F15" s="11"/>
      <c r="G15" s="11"/>
      <c r="H15" s="11"/>
      <c r="I15" s="11"/>
      <c r="J15" s="11"/>
      <c r="K15" s="11"/>
    </row>
    <row r="16" spans="2:11" ht="26.25" x14ac:dyDescent="0.4">
      <c r="C16" t="s">
        <v>4</v>
      </c>
      <c r="D16" s="7"/>
      <c r="E16" s="11"/>
      <c r="F16" s="11"/>
      <c r="G16" s="11"/>
      <c r="H16" s="11"/>
      <c r="I16" s="11"/>
      <c r="J16" s="11"/>
      <c r="K16" s="11"/>
    </row>
    <row r="17" spans="3:11" ht="26.25" x14ac:dyDescent="0.4">
      <c r="C17" t="s">
        <v>5</v>
      </c>
      <c r="D17" s="7"/>
      <c r="E17" s="11"/>
      <c r="F17" s="11"/>
      <c r="G17" s="11"/>
      <c r="H17" s="11"/>
      <c r="I17" s="11"/>
      <c r="J17" s="11"/>
      <c r="K17" s="11"/>
    </row>
    <row r="18" spans="3:11" ht="32.25" x14ac:dyDescent="0.4">
      <c r="C18" s="1" t="s">
        <v>55</v>
      </c>
      <c r="D18" s="7"/>
      <c r="E18" s="11"/>
      <c r="F18" s="11"/>
      <c r="G18" s="11"/>
      <c r="H18" s="11"/>
      <c r="I18" s="11"/>
      <c r="J18" s="11"/>
      <c r="K18" s="11"/>
    </row>
    <row r="19" spans="3:11" ht="26.25" x14ac:dyDescent="0.4">
      <c r="C19" t="s">
        <v>6</v>
      </c>
      <c r="D19" s="7"/>
      <c r="E19" s="11"/>
      <c r="F19" s="11"/>
      <c r="G19" s="11"/>
      <c r="H19" s="11"/>
      <c r="I19" s="11"/>
      <c r="J19" s="11"/>
      <c r="K19" s="11"/>
    </row>
    <row r="20" spans="3:11" ht="26.25" x14ac:dyDescent="0.4">
      <c r="C20" t="s">
        <v>7</v>
      </c>
      <c r="D20" s="7"/>
      <c r="E20" s="11"/>
      <c r="F20" s="11"/>
      <c r="G20" s="11"/>
      <c r="H20" s="11"/>
      <c r="I20" s="11"/>
      <c r="J20" s="11"/>
      <c r="K20" s="11"/>
    </row>
    <row r="21" spans="3:11" ht="26.25" x14ac:dyDescent="0.4">
      <c r="C21" t="s">
        <v>8</v>
      </c>
      <c r="D21" s="7"/>
      <c r="E21" s="11"/>
      <c r="F21" s="11"/>
      <c r="G21" s="11"/>
      <c r="H21" s="11"/>
      <c r="I21" s="11"/>
      <c r="J21" s="11"/>
      <c r="K21" s="11"/>
    </row>
    <row r="22" spans="3:11" ht="26.25" x14ac:dyDescent="0.4">
      <c r="C22" t="s">
        <v>35</v>
      </c>
      <c r="D22" s="7"/>
      <c r="E22" s="11"/>
      <c r="F22" s="11"/>
      <c r="G22" s="11"/>
      <c r="H22" s="11"/>
      <c r="I22" s="11"/>
      <c r="J22" s="11"/>
      <c r="K22" s="11"/>
    </row>
    <row r="23" spans="3:11" ht="26.25" x14ac:dyDescent="0.4">
      <c r="C23" t="s">
        <v>38</v>
      </c>
      <c r="D23" s="7"/>
      <c r="E23" s="11"/>
      <c r="F23" s="11"/>
      <c r="G23" s="11"/>
      <c r="H23" s="11"/>
      <c r="I23" s="11"/>
      <c r="J23" s="11"/>
      <c r="K23" s="11"/>
    </row>
    <row r="24" spans="3:11" ht="26.25" x14ac:dyDescent="0.4">
      <c r="C24" t="s">
        <v>56</v>
      </c>
      <c r="D24" s="7"/>
      <c r="E24" s="11"/>
      <c r="F24" s="11"/>
      <c r="G24" s="11"/>
      <c r="H24" s="11"/>
      <c r="I24" s="11"/>
      <c r="J24" s="11"/>
      <c r="K24" s="11"/>
    </row>
    <row r="25" spans="3:11" ht="26.25" x14ac:dyDescent="0.4">
      <c r="C25" t="s">
        <v>9</v>
      </c>
      <c r="D25" s="7"/>
      <c r="E25" s="11"/>
      <c r="F25" s="11"/>
      <c r="G25" s="11"/>
      <c r="H25" s="11"/>
      <c r="I25" s="11"/>
      <c r="J25" s="11"/>
      <c r="K25" s="11"/>
    </row>
    <row r="26" spans="3:11" ht="26.25" x14ac:dyDescent="0.4">
      <c r="C26" t="s">
        <v>10</v>
      </c>
      <c r="D26" s="7"/>
      <c r="E26" s="11"/>
      <c r="F26" s="11"/>
      <c r="G26" s="11"/>
      <c r="H26" s="11"/>
      <c r="I26" s="11"/>
      <c r="J26" s="11"/>
      <c r="K26" s="11"/>
    </row>
    <row r="27" spans="3:11" ht="26.25" x14ac:dyDescent="0.4">
      <c r="C27" t="s">
        <v>11</v>
      </c>
      <c r="D27" s="7"/>
      <c r="E27" s="11"/>
      <c r="F27" s="11"/>
      <c r="G27" s="11"/>
      <c r="H27" s="11"/>
      <c r="I27" s="11"/>
      <c r="J27" s="11"/>
      <c r="K27" s="11"/>
    </row>
    <row r="28" spans="3:11" ht="26.25" x14ac:dyDescent="0.4">
      <c r="D28" s="4"/>
    </row>
  </sheetData>
  <mergeCells count="16">
    <mergeCell ref="D8:D10"/>
    <mergeCell ref="I2:K2"/>
    <mergeCell ref="E11:E27"/>
    <mergeCell ref="I3:K6"/>
    <mergeCell ref="H3:H6"/>
    <mergeCell ref="G3:G6"/>
    <mergeCell ref="F3:F6"/>
    <mergeCell ref="E3:E6"/>
    <mergeCell ref="F11:F27"/>
    <mergeCell ref="G11:G27"/>
    <mergeCell ref="H11:H27"/>
    <mergeCell ref="I11:I27"/>
    <mergeCell ref="J11:J27"/>
    <mergeCell ref="K11:K27"/>
    <mergeCell ref="E7:K7"/>
    <mergeCell ref="B2:D7"/>
  </mergeCells>
  <conditionalFormatting sqref="E9:K10">
    <cfRule type="containsText" dxfId="9" priority="2" operator="containsText" text="НЕТ">
      <formula>NOT(ISERROR(SEARCH("НЕТ",E9)))</formula>
    </cfRule>
    <cfRule type="containsText" dxfId="8" priority="3" operator="containsText" text="ДА">
      <formula>NOT(ISERROR(SEARCH("ДА",E9)))</formula>
    </cfRule>
  </conditionalFormatting>
  <conditionalFormatting sqref="E9:K9">
    <cfRule type="containsText" dxfId="7" priority="1" operator="containsText" text="РАНО">
      <formula>NOT(ISERROR(SEARCH("РАНО",E9)))</formula>
    </cfRule>
  </conditionalFormatting>
  <hyperlinks>
    <hyperlink ref="C8" r:id="rId1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opLeftCell="A21" workbookViewId="0">
      <selection activeCell="C45" sqref="C45"/>
    </sheetView>
  </sheetViews>
  <sheetFormatPr defaultRowHeight="15" x14ac:dyDescent="0.25"/>
  <cols>
    <col min="2" max="2" width="25.7109375" customWidth="1"/>
  </cols>
  <sheetData>
    <row r="1" spans="1:21" x14ac:dyDescent="0.25">
      <c r="A1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25">
      <c r="B3" s="12" t="s">
        <v>29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25">
      <c r="B4" s="12" t="s">
        <v>0</v>
      </c>
      <c r="C4" s="12"/>
      <c r="D4" s="12">
        <f>SUM('ПОДБОР АТС'!D11,'ПОДБОР АТС'!D24,'ПОДБОР АТС'!D25)</f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25">
      <c r="B5" s="12" t="s">
        <v>1</v>
      </c>
      <c r="C5" s="12"/>
      <c r="D5" s="12">
        <f>SUM('ПОДБОР АТС'!D12,'ПОДБОР АТС'!D15,'ПОДБОР АТС'!D16,'ПОДБОР АТС'!D18,'ПОДБОР АТС'!D21,'ПОДБОР АТС'!D22,'ПОДБОР АТС'!D23,'ПОДБОР АТС'!D24,'ПОДБОР АТС'!D25,'ПОДБОР АТС'!D26:D27)+E15+E16</f>
        <v>0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25">
      <c r="B6" s="12" t="s">
        <v>24</v>
      </c>
      <c r="C6" s="12"/>
      <c r="D6" s="12">
        <f>SUM('ПОДБОР АТС'!D13)</f>
        <v>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x14ac:dyDescent="0.25">
      <c r="B7" s="12" t="s">
        <v>25</v>
      </c>
      <c r="C7" s="12"/>
      <c r="D7" s="12">
        <f>SUM('ПОДБОР АТС'!D14)</f>
        <v>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x14ac:dyDescent="0.25">
      <c r="B8" s="12" t="s">
        <v>30</v>
      </c>
      <c r="C8" s="12"/>
      <c r="D8" s="12">
        <f>SUM(D4:D5)</f>
        <v>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x14ac:dyDescent="0.25">
      <c r="B9" s="12" t="s">
        <v>31</v>
      </c>
      <c r="C9" s="12"/>
      <c r="D9" s="12">
        <f>D4+D5+D6</f>
        <v>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x14ac:dyDescent="0.25">
      <c r="B10" s="12" t="s">
        <v>35</v>
      </c>
      <c r="C10" s="12"/>
      <c r="D10" s="12">
        <f>SUM('ПОДБОР АТС'!D22)</f>
        <v>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x14ac:dyDescent="0.25">
      <c r="B11" s="12" t="s">
        <v>5</v>
      </c>
      <c r="C11" s="12"/>
      <c r="D11" s="12">
        <f>SUM('ПОДБОР АТС'!D17)</f>
        <v>0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x14ac:dyDescent="0.25">
      <c r="B12" s="12" t="s">
        <v>41</v>
      </c>
      <c r="C12" s="12"/>
      <c r="D12" s="12">
        <f>D6/4</f>
        <v>0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25">
      <c r="B13" s="12" t="s">
        <v>12</v>
      </c>
      <c r="C13" s="12"/>
      <c r="D13" s="12" t="e">
        <f>SUM('ПОДБОР АТС'!#REF!)</f>
        <v>#REF!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x14ac:dyDescent="0.25"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25">
      <c r="B15" s="12" t="s">
        <v>36</v>
      </c>
      <c r="C15" s="12"/>
      <c r="D15" s="12">
        <f>'ПОДБОР АТС'!$D$19</f>
        <v>0</v>
      </c>
      <c r="E15" s="12">
        <f>D15*3</f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x14ac:dyDescent="0.25">
      <c r="B16" s="12" t="s">
        <v>37</v>
      </c>
      <c r="C16" s="12"/>
      <c r="D16" s="12">
        <f>'ПОДБОР АТС'!$D$20</f>
        <v>0</v>
      </c>
      <c r="E16" s="12">
        <f>D16*6</f>
        <v>0</v>
      </c>
      <c r="F16" s="12"/>
      <c r="G16" s="12"/>
      <c r="H16" s="12"/>
      <c r="I16" s="12"/>
      <c r="J16" s="13" t="s">
        <v>28</v>
      </c>
      <c r="K16" s="13"/>
      <c r="L16" s="13"/>
      <c r="M16" s="12"/>
      <c r="N16" s="12"/>
      <c r="O16" s="12"/>
      <c r="P16" s="12"/>
      <c r="Q16" s="12"/>
      <c r="R16" s="12"/>
      <c r="S16" s="12"/>
      <c r="T16" s="12"/>
      <c r="U16" s="12"/>
    </row>
    <row r="17" spans="2:21" x14ac:dyDescent="0.25">
      <c r="B17" s="12" t="s">
        <v>42</v>
      </c>
      <c r="C17" s="12"/>
      <c r="D17" s="12">
        <f>'ПОДБОР АТС'!$D$14</f>
        <v>0</v>
      </c>
      <c r="E17" s="12">
        <f>D17/2</f>
        <v>0</v>
      </c>
      <c r="F17" s="12"/>
      <c r="G17" s="12"/>
      <c r="H17" s="12"/>
      <c r="I17" s="12"/>
      <c r="J17" s="14"/>
      <c r="K17" s="14"/>
      <c r="L17" s="14"/>
      <c r="M17" s="12"/>
      <c r="N17" s="12"/>
      <c r="O17" s="12"/>
      <c r="P17" s="12"/>
      <c r="Q17" s="12"/>
      <c r="R17" s="12"/>
      <c r="S17" s="12"/>
      <c r="T17" s="12"/>
      <c r="U17" s="12"/>
    </row>
    <row r="18" spans="2:21" x14ac:dyDescent="0.25">
      <c r="B18" s="12"/>
      <c r="C18" s="12"/>
      <c r="D18" s="12"/>
      <c r="E18" s="12"/>
      <c r="F18" s="12" t="s">
        <v>27</v>
      </c>
      <c r="G18" s="12" t="s">
        <v>13</v>
      </c>
      <c r="H18" s="12" t="s">
        <v>14</v>
      </c>
      <c r="I18" s="12" t="s">
        <v>15</v>
      </c>
      <c r="J18" s="12">
        <v>1</v>
      </c>
      <c r="K18" s="12">
        <v>2</v>
      </c>
      <c r="L18" s="12">
        <v>3</v>
      </c>
      <c r="M18" s="12"/>
      <c r="N18" s="12"/>
      <c r="O18" s="12"/>
      <c r="P18" s="12"/>
      <c r="Q18" s="12"/>
      <c r="R18" s="12"/>
      <c r="S18" s="12"/>
      <c r="T18" s="12"/>
      <c r="U18" s="12"/>
    </row>
    <row r="19" spans="2:21" x14ac:dyDescent="0.25">
      <c r="B19" s="12" t="s">
        <v>21</v>
      </c>
      <c r="C19" s="12"/>
      <c r="D19" s="12"/>
      <c r="E19" s="12"/>
      <c r="F19" s="12">
        <f>IF(D4&lt;4,1,0)</f>
        <v>1</v>
      </c>
      <c r="G19" s="12">
        <f>IF(D4&lt;9,1,0)</f>
        <v>1</v>
      </c>
      <c r="H19" s="12">
        <f>IF(D4&lt;13,1,0)</f>
        <v>1</v>
      </c>
      <c r="I19" s="12">
        <f>IF(D4&lt;21,1,0)</f>
        <v>1</v>
      </c>
      <c r="J19" s="12">
        <f>IF(D4&lt;81,1,0)</f>
        <v>1</v>
      </c>
      <c r="K19" s="12">
        <f>IF(D4&lt;161,1,0)</f>
        <v>1</v>
      </c>
      <c r="L19" s="12">
        <f>IF(D4&lt;241,1,0)</f>
        <v>1</v>
      </c>
      <c r="M19" s="12"/>
      <c r="N19" s="12"/>
      <c r="O19" s="12"/>
      <c r="P19" s="12"/>
      <c r="Q19" s="12"/>
      <c r="R19" s="12"/>
      <c r="S19" s="12"/>
      <c r="T19" s="12"/>
      <c r="U19" s="12"/>
    </row>
    <row r="20" spans="2:21" x14ac:dyDescent="0.25">
      <c r="B20" s="12" t="s">
        <v>22</v>
      </c>
      <c r="C20" s="12"/>
      <c r="D20" s="12"/>
      <c r="E20" s="12"/>
      <c r="F20" s="12">
        <f>IF(D8&lt;12,1,0)</f>
        <v>1</v>
      </c>
      <c r="G20" s="12">
        <f>IF(D8&lt;36,1,0)</f>
        <v>1</v>
      </c>
      <c r="H20" s="12">
        <f>IF(D8&lt;49,1,0)</f>
        <v>1</v>
      </c>
      <c r="I20" s="12">
        <f>IF(D8&lt;81,1,0)</f>
        <v>1</v>
      </c>
      <c r="J20" s="12">
        <f>IF(D8&lt;161,1,0)</f>
        <v>1</v>
      </c>
      <c r="K20" s="12">
        <f>IF(D8&lt;321,1,0)</f>
        <v>1</v>
      </c>
      <c r="L20" s="12">
        <f>IF(D8&lt;481,1,0)</f>
        <v>1</v>
      </c>
      <c r="M20" s="12"/>
      <c r="N20" s="12"/>
      <c r="O20" s="12"/>
      <c r="P20" s="12"/>
      <c r="Q20" s="12"/>
      <c r="R20" s="12"/>
      <c r="S20" s="12"/>
      <c r="T20" s="12"/>
      <c r="U20" s="12"/>
    </row>
    <row r="21" spans="2:21" x14ac:dyDescent="0.25">
      <c r="B21" s="12" t="s">
        <v>32</v>
      </c>
      <c r="C21" s="12"/>
      <c r="D21" s="12"/>
      <c r="E21" s="12"/>
      <c r="F21" s="12">
        <f>IF(D6&lt;3,1,0)</f>
        <v>1</v>
      </c>
      <c r="G21" s="12">
        <f>IF(D6&lt;3,1,0)</f>
        <v>1</v>
      </c>
      <c r="H21" s="12">
        <f>IF(D6&lt;13,1,0)</f>
        <v>1</v>
      </c>
      <c r="I21" s="12">
        <f>IF(D6&lt;17,1,0)</f>
        <v>1</v>
      </c>
      <c r="J21" s="12">
        <f>IF(D6&lt;49,1,0)</f>
        <v>1</v>
      </c>
      <c r="K21" s="12">
        <f>IF(D6&lt;60,1,0)</f>
        <v>1</v>
      </c>
      <c r="L21" s="12">
        <f>IF(D6&lt;80,1,0)</f>
        <v>1</v>
      </c>
      <c r="M21" s="12"/>
      <c r="N21" s="12"/>
      <c r="O21" s="12"/>
      <c r="P21" s="12"/>
      <c r="Q21" s="12"/>
      <c r="R21" s="12"/>
      <c r="S21" s="12"/>
      <c r="T21" s="12"/>
      <c r="U21" s="12"/>
    </row>
    <row r="22" spans="2:21" x14ac:dyDescent="0.25">
      <c r="B22" s="12" t="s">
        <v>23</v>
      </c>
      <c r="C22" s="12"/>
      <c r="D22" s="12"/>
      <c r="E22" s="12"/>
      <c r="F22" s="12">
        <f>IF(D7&gt;0,0,1)</f>
        <v>1</v>
      </c>
      <c r="G22" s="12">
        <f>IF(D7&gt;0,0,1)</f>
        <v>1</v>
      </c>
      <c r="H22" s="12">
        <f>IF(D7&gt;0,0,1)</f>
        <v>1</v>
      </c>
      <c r="I22" s="12">
        <f>IF(D7&gt;0,0,1)</f>
        <v>1</v>
      </c>
      <c r="J22" s="12">
        <f>IF(OR(D7=0,D7&gt;0),1,0)</f>
        <v>1</v>
      </c>
      <c r="K22" s="12">
        <f>IF(OR(D7=0,D7&gt;0),1,0)</f>
        <v>1</v>
      </c>
      <c r="L22" s="12">
        <f>IF(OR(D7=0,D7&gt;0),1,0)</f>
        <v>1</v>
      </c>
      <c r="M22" s="12"/>
      <c r="N22" s="12"/>
      <c r="O22" s="12"/>
      <c r="P22" s="12"/>
      <c r="Q22" s="12"/>
      <c r="R22" s="12"/>
      <c r="S22" s="12"/>
      <c r="T22" s="12"/>
      <c r="U22" s="12"/>
    </row>
    <row r="23" spans="2:21" x14ac:dyDescent="0.25">
      <c r="B23" s="12" t="s">
        <v>33</v>
      </c>
      <c r="C23" s="12"/>
      <c r="D23" s="12"/>
      <c r="E23" s="12"/>
      <c r="F23" s="12">
        <f>IF(D12&lt;0.6,1,0)</f>
        <v>1</v>
      </c>
      <c r="G23" s="12">
        <f>IF(D12&lt;0.6,1,0)</f>
        <v>1</v>
      </c>
      <c r="H23" s="12">
        <f>IF(D12&lt;3.1,1,0)</f>
        <v>1</v>
      </c>
      <c r="I23" s="12">
        <f>IF(D12&lt;4.1,1,0)</f>
        <v>1</v>
      </c>
      <c r="J23" s="12">
        <f>IF(D12&lt;16.1,1,0)</f>
        <v>1</v>
      </c>
      <c r="K23" s="12">
        <f>IF(D12&lt;22.1,1,0)</f>
        <v>1</v>
      </c>
      <c r="L23" s="12">
        <f>IF(E12&lt;33.1,1,0)</f>
        <v>1</v>
      </c>
      <c r="M23" s="12"/>
      <c r="N23" s="12"/>
      <c r="O23" s="12"/>
      <c r="P23" s="12"/>
      <c r="Q23" s="12"/>
      <c r="R23" s="12"/>
      <c r="S23" s="12"/>
      <c r="T23" s="12"/>
      <c r="U23" s="12"/>
    </row>
    <row r="24" spans="2:21" x14ac:dyDescent="0.25">
      <c r="B24" s="12" t="s">
        <v>34</v>
      </c>
      <c r="C24" s="12"/>
      <c r="D24" s="12"/>
      <c r="E24" s="12"/>
      <c r="F24" s="12">
        <f>IF(D9&gt;11,0,1)</f>
        <v>1</v>
      </c>
      <c r="G24" s="12">
        <f>IF(D9&gt;35,0,1)</f>
        <v>1</v>
      </c>
      <c r="H24" s="12">
        <f>IF(D9&gt;48,0,1)</f>
        <v>1</v>
      </c>
      <c r="I24" s="12">
        <f>IF(D9&gt;80,0,1)</f>
        <v>1</v>
      </c>
      <c r="J24" s="12">
        <f>IF(D9&gt;161,0,1)</f>
        <v>1</v>
      </c>
      <c r="K24" s="12">
        <f>IF(D9&gt;321,0,1)</f>
        <v>1</v>
      </c>
      <c r="L24" s="12">
        <f>IF(E9&gt;481,0,1)</f>
        <v>1</v>
      </c>
      <c r="M24" s="12"/>
      <c r="N24" s="12"/>
      <c r="O24" s="12"/>
      <c r="P24" s="12"/>
      <c r="Q24" s="12"/>
      <c r="R24" s="12"/>
      <c r="S24" s="12"/>
      <c r="T24" s="12"/>
      <c r="U24" s="12"/>
    </row>
    <row r="25" spans="2:21" x14ac:dyDescent="0.25">
      <c r="B25" s="12" t="s">
        <v>39</v>
      </c>
      <c r="C25" s="12"/>
      <c r="D25" s="12"/>
      <c r="E25" s="12"/>
      <c r="F25" s="12">
        <f>IF(D10&gt;2,0,1)</f>
        <v>1</v>
      </c>
      <c r="G25" s="12">
        <f>IF(D10&gt;2,0,1)</f>
        <v>1</v>
      </c>
      <c r="H25" s="12">
        <f>IF(D10&gt;2,0,1)</f>
        <v>1</v>
      </c>
      <c r="I25" s="12">
        <f>IF(D10&gt;2,0,1)</f>
        <v>1</v>
      </c>
      <c r="J25" s="12">
        <f>IF(AND(OR(D10=0,D10&gt;0),D10&lt;11),1,0)</f>
        <v>1</v>
      </c>
      <c r="K25" s="12">
        <f>IF(AND(OR(D10=0,D10&gt;0),D10&lt;23),1,0)</f>
        <v>1</v>
      </c>
      <c r="L25" s="12">
        <f>IF(AND(OR(D10=0,D10&gt;0),D10&lt;33),1,0)</f>
        <v>1</v>
      </c>
      <c r="M25" s="12"/>
      <c r="N25" s="12"/>
      <c r="O25" s="12"/>
      <c r="P25" s="12"/>
      <c r="Q25" s="12"/>
      <c r="R25" s="12"/>
      <c r="S25" s="12"/>
      <c r="T25" s="12"/>
      <c r="U25" s="12"/>
    </row>
    <row r="26" spans="2:21" x14ac:dyDescent="0.25">
      <c r="B26" s="12" t="s">
        <v>47</v>
      </c>
      <c r="C26" s="12"/>
      <c r="D26" s="12"/>
      <c r="E26" s="12"/>
      <c r="F26" s="12">
        <f>IF('ПОДБОР АТС'!D17&gt;2,0,1)</f>
        <v>1</v>
      </c>
      <c r="G26" s="12">
        <f>IF('ПОДБОР АТС'!D17&gt;2,0,1)</f>
        <v>1</v>
      </c>
      <c r="H26" s="12">
        <f>IF('ПОДБОР АТС'!D17&gt;2,0,1)</f>
        <v>1</v>
      </c>
      <c r="I26" s="12">
        <f>IF('ПОДБОР АТС'!D17&gt;2,0,1)</f>
        <v>1</v>
      </c>
      <c r="J26" s="12">
        <f>IF('ПОДБОР АТС'!D17&gt;10,0,1)</f>
        <v>1</v>
      </c>
      <c r="K26" s="12">
        <f>IF('ПОДБОР АТС'!D17&gt;10,0,1)</f>
        <v>1</v>
      </c>
      <c r="L26" s="12">
        <f>IF('ПОДБОР АТС'!D17&gt;10,0,1)</f>
        <v>1</v>
      </c>
      <c r="M26" s="12"/>
      <c r="N26" s="12"/>
      <c r="O26" s="12"/>
      <c r="P26" s="12"/>
      <c r="Q26" s="12"/>
      <c r="R26" s="12"/>
      <c r="S26" s="12"/>
      <c r="T26" s="12"/>
      <c r="U26" s="12"/>
    </row>
    <row r="27" spans="2:21" x14ac:dyDescent="0.25">
      <c r="B27" s="12" t="s">
        <v>40</v>
      </c>
      <c r="C27" s="12"/>
      <c r="D27" s="12"/>
      <c r="E27" s="12"/>
      <c r="F27" s="12">
        <f>IF(D7&gt;0,0,1)</f>
        <v>1</v>
      </c>
      <c r="G27" s="12">
        <f>IF(D7&gt;0,0,1)</f>
        <v>1</v>
      </c>
      <c r="H27" s="12">
        <f>IF(D7&gt;0,0,1)</f>
        <v>1</v>
      </c>
      <c r="I27" s="12">
        <f>IF(D7&gt;0,0,1)</f>
        <v>1</v>
      </c>
      <c r="J27" s="12">
        <f>IF((D12+E17)&gt;16,0,1)</f>
        <v>1</v>
      </c>
      <c r="K27" s="12">
        <f>IF((D12+E17)&gt;32,0,1)</f>
        <v>1</v>
      </c>
      <c r="L27" s="12">
        <f>IF((D12+E17)&gt;48,0,1)</f>
        <v>1</v>
      </c>
      <c r="M27" s="12"/>
      <c r="N27" s="12"/>
      <c r="O27" s="12"/>
      <c r="P27" s="12"/>
      <c r="Q27" s="12"/>
      <c r="R27" s="12"/>
      <c r="S27" s="12"/>
      <c r="T27" s="12"/>
      <c r="U27" s="12"/>
    </row>
    <row r="28" spans="2:21" x14ac:dyDescent="0.25">
      <c r="B28" s="12" t="s">
        <v>43</v>
      </c>
      <c r="C28" s="12"/>
      <c r="D28" s="12"/>
      <c r="E28" s="12"/>
      <c r="F28" s="12">
        <f t="shared" ref="F28:L28" si="0">SUM(F19:F27)</f>
        <v>9</v>
      </c>
      <c r="G28" s="12">
        <f t="shared" si="0"/>
        <v>9</v>
      </c>
      <c r="H28" s="12">
        <f t="shared" si="0"/>
        <v>9</v>
      </c>
      <c r="I28" s="12">
        <f t="shared" si="0"/>
        <v>9</v>
      </c>
      <c r="J28" s="12">
        <f t="shared" si="0"/>
        <v>9</v>
      </c>
      <c r="K28" s="12">
        <f t="shared" si="0"/>
        <v>9</v>
      </c>
      <c r="L28" s="12">
        <f t="shared" si="0"/>
        <v>9</v>
      </c>
      <c r="M28" s="12"/>
      <c r="N28" s="12"/>
      <c r="O28" s="12"/>
      <c r="P28" s="12"/>
      <c r="Q28" s="12"/>
      <c r="R28" s="12"/>
      <c r="S28" s="12"/>
      <c r="T28" s="12"/>
      <c r="U28" s="12"/>
    </row>
    <row r="29" spans="2:21" x14ac:dyDescent="0.25">
      <c r="B29" s="12" t="s">
        <v>50</v>
      </c>
      <c r="C29" s="12"/>
      <c r="D29" s="12"/>
      <c r="E29" s="12"/>
      <c r="F29" s="12">
        <f>SUM('ПОДБОР АТС'!D11:D27)</f>
        <v>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2:21" ht="45.75" x14ac:dyDescent="0.25">
      <c r="B30" s="12" t="s">
        <v>44</v>
      </c>
      <c r="C30" s="12"/>
      <c r="D30" s="12"/>
      <c r="E30" s="12"/>
      <c r="F30" s="15" t="str">
        <f>IF(F28=9,"Подходит по характеристикам","Под Ваши задачи требуется модель большей емкости.")</f>
        <v>Подходит по характеристикам</v>
      </c>
      <c r="G30" s="15" t="str">
        <f>IF(G28=9,"Подходит по характеристикам",IF(AND(G28=9,F28=9),"Эта модель, как и MP35, соответствует Вашим задачам, но обеспечивает бОльшую емкость.","Под Ваши задачи требуется модель как минимум с большей емкостью "))</f>
        <v>Подходит по характеристикам</v>
      </c>
      <c r="H30" s="15" t="str">
        <f>IF(H28=9,"Подходит по характеристикам",IF(AND(H28=9,G28=8),"Эта модель, как и MP35, соответствует Вашим задачам, но обеспечивает бОльшую емкость.","Под Ваши задачи требуется модель как минимум с большей емкостью "))</f>
        <v>Подходит по характеристикам</v>
      </c>
      <c r="I30" s="15" t="str">
        <f>IF(I28=9,"Подходит по характеристикам",IF(AND(I28=9,H28=9),"Эта модель, как и MP48, соответствует Вашим задачам, но обеспечивает бОльшую емкость.","Под Ваши задачи требуется модель как минимум с большей емкостью "))</f>
        <v>Подходит по характеристикам</v>
      </c>
      <c r="J30" s="15" t="str">
        <f>IF(J28=9,"Подходит по характеристикам",IF(AND(J28=9,I28=9),"Эта модель, как и MP80, соответствует Вашим задачам, но обеспечивает бОльшую емкость.","Под Ваши задачи требуется модель как минимум с большей емкостью "))</f>
        <v>Подходит по характеристикам</v>
      </c>
      <c r="K30" s="15" t="str">
        <f>IF(K28=9,"Подходит по характеристикам",IF(AND(K28=9,J28=9),"Этот вариант, как и один блок MXM500P, соответствует Вашим задачам, но обеспечивает бОльшую емкость.","Под Ваши задачи требуется АТС с большей емкостью "))</f>
        <v>Подходит по характеристикам</v>
      </c>
      <c r="L30" s="15" t="str">
        <f>IF(L28=9,"Подходит по характеристикам",IF(AND(L28=9,K28=9),"Этот вариант, как и два блока MXM500P, соответствует Вашим задачам, но обеспечивает бОльшую емкость.","Под Ваши задачи требуется АТС с еще большей емкостью. Поможем подобрать подходящую АТС другого производителя "))</f>
        <v>Подходит по характеристикам</v>
      </c>
      <c r="M30" s="12"/>
      <c r="N30" s="12"/>
      <c r="O30" s="12"/>
      <c r="P30" s="12"/>
      <c r="Q30" s="12"/>
      <c r="R30" s="12"/>
      <c r="S30" s="12"/>
      <c r="T30" s="12"/>
      <c r="U30" s="12"/>
    </row>
    <row r="31" spans="2:21" x14ac:dyDescent="0.25">
      <c r="B31" s="12" t="s">
        <v>46</v>
      </c>
      <c r="C31" s="12"/>
      <c r="D31" s="12"/>
      <c r="E31" s="12"/>
      <c r="F31" s="12" t="str">
        <f>IF(F29=0,"РАНО",IF(F28=9,"ДА","НЕТ"))</f>
        <v>РАНО</v>
      </c>
      <c r="G31" s="12" t="str">
        <f>IF(F29=0,"РАНО",IF(G28=9,"ДА","НЕТ"))</f>
        <v>РАНО</v>
      </c>
      <c r="H31" s="12" t="str">
        <f>IF(F29=0,"РАНО",IF(H28=9,"ДА","НЕТ"))</f>
        <v>РАНО</v>
      </c>
      <c r="I31" s="12" t="str">
        <f>IF(F29=0,"РАНО",IF(I28=9,"ДА","НЕТ"))</f>
        <v>РАНО</v>
      </c>
      <c r="J31" s="12" t="str">
        <f>IF(F29=0,"РАНО",IF(J28=9,"ДА","НЕТ"))</f>
        <v>РАНО</v>
      </c>
      <c r="K31" s="12" t="str">
        <f>IF(F29=0,"РАНО",IF(K28=9,"ДА","НЕТ"))</f>
        <v>РАНО</v>
      </c>
      <c r="L31" s="12" t="str">
        <f>IF(F29=0,"РАНО",IF(L28=9,"ДА","НЕТ"))</f>
        <v>РАНО</v>
      </c>
      <c r="M31" s="12"/>
      <c r="N31" s="12"/>
      <c r="O31" s="12"/>
      <c r="P31" s="12"/>
      <c r="Q31" s="12"/>
      <c r="R31" s="12"/>
      <c r="S31" s="12"/>
      <c r="T31" s="12"/>
      <c r="U31" s="12"/>
    </row>
    <row r="32" spans="2:2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</sheetData>
  <sheetProtection algorithmName="SHA-512" hashValue="yG9IB4RUWnjxWMZGeAk5rNiYHPykr/kWGssZrkjWupni2dq/MGzBIH5BZV3MivfyE6Ok4EHRDcPD1qeqk4D6EA==" saltValue="lFEbpeUxYOL+YZ16Elte+g==" spinCount="100000" sheet="1" objects="1" scenarios="1"/>
  <mergeCells count="1">
    <mergeCell ref="J16:L16"/>
  </mergeCells>
  <conditionalFormatting sqref="F31">
    <cfRule type="containsText" dxfId="6" priority="7" operator="containsText" text="ДА">
      <formula>NOT(ISERROR(SEARCH("ДА",F31)))</formula>
    </cfRule>
  </conditionalFormatting>
  <conditionalFormatting sqref="F31:L31">
    <cfRule type="containsText" dxfId="5" priority="3" operator="containsText" text="НЕТ">
      <formula>NOT(ISERROR(SEARCH("НЕТ",F31)))</formula>
    </cfRule>
    <cfRule type="containsText" dxfId="4" priority="4" operator="containsText" text="НЕТ">
      <formula>NOT(ISERROR(SEARCH("НЕТ",F31)))</formula>
    </cfRule>
    <cfRule type="containsText" dxfId="3" priority="5" operator="containsText" text="ДА">
      <formula>NOT(ISERROR(SEARCH("ДА",F31)))</formula>
    </cfRule>
    <cfRule type="containsText" dxfId="2" priority="6" operator="containsText" text="ДА">
      <formula>NOT(ISERROR(SEARCH("ДА",F31)))</formula>
    </cfRule>
    <cfRule type="containsText" dxfId="1" priority="2" operator="containsText" text="РАНО">
      <formula>NOT(ISERROR(SEARCH("РАНО",F31)))</formula>
    </cfRule>
    <cfRule type="containsText" dxfId="0" priority="1" operator="containsText" text="РАНО">
      <formula>NOT(ISERROR(SEARCH("РАНО",F31)))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ПОДБОР АТС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Горелик</dc:creator>
  <cp:lastModifiedBy>Михаил Горелик</cp:lastModifiedBy>
  <dcterms:created xsi:type="dcterms:W3CDTF">2019-07-11T09:24:38Z</dcterms:created>
  <dcterms:modified xsi:type="dcterms:W3CDTF">2019-09-26T10:22:55Z</dcterms:modified>
</cp:coreProperties>
</file>